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d2fe8a64b362615e/Lesstof clusius 2015/GO 1/"/>
    </mc:Choice>
  </mc:AlternateContent>
  <bookViews>
    <workbookView xWindow="0" yWindow="0" windowWidth="15530" windowHeight="7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R31" i="1" l="1"/>
  <c r="AD13" i="1" l="1"/>
  <c r="AD11" i="1"/>
  <c r="AD14" i="1"/>
  <c r="AD15" i="1"/>
  <c r="AB16" i="1"/>
  <c r="AB15" i="1"/>
  <c r="AB14" i="1"/>
  <c r="AB13" i="1"/>
  <c r="AB11" i="1"/>
  <c r="Y16" i="1"/>
  <c r="Y15" i="1"/>
  <c r="W15" i="1"/>
  <c r="Y14" i="1"/>
  <c r="W14" i="1"/>
  <c r="Y13" i="1"/>
  <c r="W13" i="1"/>
  <c r="Y11" i="1"/>
  <c r="W11" i="1"/>
  <c r="R26" i="1" l="1"/>
  <c r="R27" i="1" s="1"/>
  <c r="R25" i="1"/>
  <c r="E29" i="1" l="1"/>
  <c r="V13" i="1" l="1"/>
  <c r="X13" i="1" s="1"/>
  <c r="V14" i="1"/>
  <c r="X14" i="1" s="1"/>
  <c r="V12" i="1"/>
  <c r="X12" i="1" s="1"/>
  <c r="V11" i="1"/>
  <c r="X11" i="1" s="1"/>
  <c r="V15" i="1"/>
  <c r="X15" i="1" s="1"/>
  <c r="V10" i="1"/>
  <c r="X10" i="1" s="1"/>
  <c r="V16" i="1"/>
  <c r="X16" i="1" s="1"/>
  <c r="V9" i="1"/>
  <c r="X9" i="1" s="1"/>
  <c r="U17" i="1"/>
  <c r="R9" i="1"/>
  <c r="R14" i="1" s="1"/>
  <c r="R15" i="1" s="1"/>
  <c r="X17" i="1" l="1"/>
  <c r="S22" i="1" s="1"/>
  <c r="AE11" i="1" l="1"/>
  <c r="Z12" i="1"/>
  <c r="Z16" i="1"/>
  <c r="Z13" i="1"/>
  <c r="AE13" i="1" s="1"/>
  <c r="Z9" i="1"/>
  <c r="AE9" i="1" s="1"/>
  <c r="Z10" i="1"/>
  <c r="Z14" i="1"/>
  <c r="Z11" i="1"/>
  <c r="AC11" i="1" s="1"/>
  <c r="Z15" i="1"/>
  <c r="AE15" i="1" s="1"/>
  <c r="AE10" i="1"/>
  <c r="AE16" i="1"/>
  <c r="AE14" i="1"/>
  <c r="AE12" i="1"/>
  <c r="AA11" i="1"/>
  <c r="AA10" i="1"/>
  <c r="AC10" i="1"/>
  <c r="AA13" i="1"/>
  <c r="AC9" i="1" l="1"/>
  <c r="AA9" i="1"/>
  <c r="AC13" i="1"/>
  <c r="AC15" i="1"/>
  <c r="AC16" i="1"/>
  <c r="AA15" i="1"/>
  <c r="AE17" i="1"/>
  <c r="AE18" i="1" s="1"/>
  <c r="AA16" i="1"/>
  <c r="AC12" i="1"/>
  <c r="AC14" i="1"/>
  <c r="AA12" i="1"/>
  <c r="AA14" i="1"/>
  <c r="AC17" i="1" l="1"/>
  <c r="R33" i="1" s="1"/>
  <c r="AA17" i="1"/>
  <c r="AA20" i="1" l="1"/>
  <c r="W20" i="1"/>
</calcChain>
</file>

<file path=xl/sharedStrings.xml><?xml version="1.0" encoding="utf-8"?>
<sst xmlns="http://schemas.openxmlformats.org/spreadsheetml/2006/main" count="86" uniqueCount="55">
  <si>
    <t>Opdracht veevoeding vem tekort</t>
  </si>
  <si>
    <t>Koe</t>
  </si>
  <si>
    <t>productie</t>
  </si>
  <si>
    <t>kg melk</t>
  </si>
  <si>
    <t>% vet</t>
  </si>
  <si>
    <t>% eiwit</t>
  </si>
  <si>
    <t>VEM behoefte</t>
  </si>
  <si>
    <t>Onderhoud</t>
  </si>
  <si>
    <t>Meetmelk</t>
  </si>
  <si>
    <t>totaal</t>
  </si>
  <si>
    <t>Snijmaiskuil ds&gt; 320 ds</t>
  </si>
  <si>
    <t>Grashooi goed</t>
  </si>
  <si>
    <t>Soja RE &lt;450</t>
  </si>
  <si>
    <t>VOC</t>
  </si>
  <si>
    <t>GEM VW</t>
  </si>
  <si>
    <t>DS opname</t>
  </si>
  <si>
    <t>VEM opname</t>
  </si>
  <si>
    <t>VEM/kg ds</t>
  </si>
  <si>
    <t>te kort</t>
  </si>
  <si>
    <t>kg ds</t>
  </si>
  <si>
    <t>VEM</t>
  </si>
  <si>
    <t>VW</t>
  </si>
  <si>
    <t>VW/kg ds</t>
  </si>
  <si>
    <t>gemiddeld rantsoen</t>
  </si>
  <si>
    <t>% rantsoen</t>
  </si>
  <si>
    <t>DVE behoefte</t>
  </si>
  <si>
    <t>DVE/kg ds</t>
  </si>
  <si>
    <t>DVE totaal</t>
  </si>
  <si>
    <t>DVE onderh</t>
  </si>
  <si>
    <t>DVE prod</t>
  </si>
  <si>
    <t>Totaal DVE</t>
  </si>
  <si>
    <t>DVE</t>
  </si>
  <si>
    <t>DVE opname</t>
  </si>
  <si>
    <t>DVE tekort/over</t>
  </si>
  <si>
    <t>eiwit productie</t>
  </si>
  <si>
    <t>SW</t>
  </si>
  <si>
    <t>SW/kg ds</t>
  </si>
  <si>
    <t>Gemiddelde SW</t>
  </si>
  <si>
    <t>onderhoud</t>
  </si>
  <si>
    <t>kg LG</t>
  </si>
  <si>
    <t>2de kalfs</t>
  </si>
  <si>
    <t>180 dagen</t>
  </si>
  <si>
    <t>6 maand dracht</t>
  </si>
  <si>
    <t>gewicht</t>
  </si>
  <si>
    <t>dracht</t>
  </si>
  <si>
    <t>leeftijd</t>
  </si>
  <si>
    <t>lft</t>
  </si>
  <si>
    <t>gew</t>
  </si>
  <si>
    <t>Graskuil mei 3500 kg ds</t>
  </si>
  <si>
    <t>Aardappelzetmeel gedroogd</t>
  </si>
  <si>
    <t>Tarwe</t>
  </si>
  <si>
    <t>Raapzaadschroot RE &gt; 380</t>
  </si>
  <si>
    <t>Krachtvoer A 940/90/0</t>
  </si>
  <si>
    <t>Tekort/over</t>
  </si>
  <si>
    <t>Dracht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</si>
</sst>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0" fontId="2" fillId="0" borderId="0" xfId="0" applyFont="1"/>
    <xf numFmtId="1" fontId="0" fillId="2" borderId="0" xfId="0" applyNumberFormat="1" applyFill="1"/>
    <xf numFmtId="9" fontId="0" fillId="0" borderId="0" xfId="1" applyFont="1"/>
  </cellXfs>
  <cellStyles count="2">
    <cellStyle name="Procent" xfId="1" builtinId="5"/>
    <cellStyle name="Standaard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topLeftCell="J1" workbookViewId="0">
      <selection activeCell="O22" sqref="O22"/>
    </sheetView>
  </sheetViews>
  <sheetFormatPr defaultRowHeight="14.5" x14ac:dyDescent="0.35"/>
  <cols>
    <col min="1" max="1" width="13.81640625" customWidth="1"/>
    <col min="2" max="2" width="10.453125" bestFit="1" customWidth="1"/>
    <col min="4" max="4" width="34.08984375" customWidth="1"/>
    <col min="6" max="6" width="12.90625" customWidth="1"/>
    <col min="7" max="16" width="14.453125" customWidth="1"/>
    <col min="17" max="17" width="11.08984375" customWidth="1"/>
    <col min="18" max="18" width="10.1796875" customWidth="1"/>
    <col min="19" max="19" width="8.81640625" customWidth="1"/>
    <col min="20" max="20" width="33" customWidth="1"/>
    <col min="21" max="21" width="8.81640625" customWidth="1"/>
    <col min="22" max="22" width="10.90625" customWidth="1"/>
    <col min="23" max="28" width="8.81640625" customWidth="1"/>
    <col min="29" max="30" width="8.90625" customWidth="1"/>
    <col min="31" max="102" width="8.7265625" customWidth="1"/>
  </cols>
  <sheetData>
    <row r="1" spans="1:31" x14ac:dyDescent="0.35">
      <c r="A1" t="s">
        <v>0</v>
      </c>
    </row>
    <row r="3" spans="1:31" x14ac:dyDescent="0.35">
      <c r="A3" t="s">
        <v>1</v>
      </c>
      <c r="E3" t="s">
        <v>38</v>
      </c>
    </row>
    <row r="4" spans="1:31" x14ac:dyDescent="0.35">
      <c r="A4">
        <v>700</v>
      </c>
      <c r="B4" t="s">
        <v>39</v>
      </c>
      <c r="E4" t="s">
        <v>2</v>
      </c>
    </row>
    <row r="5" spans="1:31" x14ac:dyDescent="0.35">
      <c r="A5" t="s">
        <v>40</v>
      </c>
      <c r="E5" t="s">
        <v>44</v>
      </c>
    </row>
    <row r="6" spans="1:31" x14ac:dyDescent="0.35">
      <c r="A6" t="s">
        <v>41</v>
      </c>
      <c r="E6" t="s">
        <v>46</v>
      </c>
    </row>
    <row r="7" spans="1:31" x14ac:dyDescent="0.35">
      <c r="A7" t="s">
        <v>42</v>
      </c>
      <c r="E7" t="s">
        <v>47</v>
      </c>
    </row>
    <row r="8" spans="1:31" x14ac:dyDescent="0.35">
      <c r="T8" s="7" t="s">
        <v>23</v>
      </c>
      <c r="V8" t="s">
        <v>24</v>
      </c>
      <c r="W8" t="s">
        <v>22</v>
      </c>
      <c r="X8" t="s">
        <v>21</v>
      </c>
      <c r="Y8" t="s">
        <v>17</v>
      </c>
      <c r="Z8" t="s">
        <v>19</v>
      </c>
      <c r="AA8" t="s">
        <v>20</v>
      </c>
      <c r="AB8" t="s">
        <v>26</v>
      </c>
      <c r="AC8" t="s">
        <v>27</v>
      </c>
      <c r="AD8" t="s">
        <v>36</v>
      </c>
      <c r="AE8" t="s">
        <v>35</v>
      </c>
    </row>
    <row r="9" spans="1:31" x14ac:dyDescent="0.35">
      <c r="A9" t="s">
        <v>2</v>
      </c>
      <c r="Q9" t="s">
        <v>8</v>
      </c>
      <c r="R9">
        <f>+(0.337+0.116*A11+0.06*A12)*A10</f>
        <v>26.875</v>
      </c>
      <c r="T9" t="s">
        <v>48</v>
      </c>
      <c r="U9">
        <v>11</v>
      </c>
      <c r="V9" s="9">
        <f>+U9/$E$29</f>
        <v>0.66666666666666663</v>
      </c>
      <c r="W9">
        <v>1.03</v>
      </c>
      <c r="X9">
        <f>+V9*W9</f>
        <v>0.68666666666666665</v>
      </c>
      <c r="Y9">
        <v>894</v>
      </c>
      <c r="Z9">
        <f>+$S$22*V9</f>
        <v>12.116770778898074</v>
      </c>
      <c r="AA9">
        <f>+Y9*Z9</f>
        <v>10832.393076334878</v>
      </c>
      <c r="AB9">
        <v>68</v>
      </c>
      <c r="AC9">
        <f>+Z9*AB9</f>
        <v>823.94041296506907</v>
      </c>
      <c r="AD9">
        <v>3.05</v>
      </c>
      <c r="AE9">
        <f>+AD9*Z9</f>
        <v>36.956150875639125</v>
      </c>
    </row>
    <row r="10" spans="1:31" x14ac:dyDescent="0.35">
      <c r="A10">
        <v>25</v>
      </c>
      <c r="B10" t="s">
        <v>3</v>
      </c>
      <c r="Q10" t="s">
        <v>7</v>
      </c>
      <c r="R10">
        <v>5323</v>
      </c>
      <c r="T10" t="s">
        <v>10</v>
      </c>
      <c r="U10">
        <v>1</v>
      </c>
      <c r="V10" s="9">
        <f t="shared" ref="V10:V16" si="0">+U10/$E$29</f>
        <v>6.0606060606060608E-2</v>
      </c>
      <c r="W10">
        <v>0.8</v>
      </c>
      <c r="X10">
        <f t="shared" ref="X10:X16" si="1">+V10*W10</f>
        <v>4.8484848484848492E-2</v>
      </c>
      <c r="Y10">
        <v>937</v>
      </c>
      <c r="Z10">
        <f t="shared" ref="Z10:Z16" si="2">+$S$22*V10</f>
        <v>1.1015246162634613</v>
      </c>
      <c r="AA10">
        <f t="shared" ref="AA10:AA16" si="3">+Y10*Z10</f>
        <v>1032.1285654388632</v>
      </c>
      <c r="AB10">
        <v>52</v>
      </c>
      <c r="AC10">
        <f t="shared" ref="AC10:AC16" si="4">+Z10*AB10</f>
        <v>57.279280045699991</v>
      </c>
      <c r="AD10">
        <v>1.52</v>
      </c>
      <c r="AE10">
        <f t="shared" ref="AE10:AE16" si="5">+AD10*Z10</f>
        <v>1.6743174167204613</v>
      </c>
    </row>
    <row r="11" spans="1:31" x14ac:dyDescent="0.35">
      <c r="A11">
        <v>4.5</v>
      </c>
      <c r="B11" t="s">
        <v>4</v>
      </c>
      <c r="Q11" t="s">
        <v>43</v>
      </c>
      <c r="R11">
        <v>320</v>
      </c>
      <c r="T11" t="s">
        <v>49</v>
      </c>
      <c r="U11">
        <v>1</v>
      </c>
      <c r="V11" s="9">
        <f t="shared" si="0"/>
        <v>6.0606060606060608E-2</v>
      </c>
      <c r="W11">
        <f>0.26/0.855</f>
        <v>0.30409356725146203</v>
      </c>
      <c r="X11">
        <f t="shared" si="1"/>
        <v>1.8429913166755275E-2</v>
      </c>
      <c r="Y11">
        <f>1080/0.855</f>
        <v>1263.1578947368421</v>
      </c>
      <c r="Z11">
        <f t="shared" si="2"/>
        <v>1.1015246162634613</v>
      </c>
      <c r="AA11">
        <f t="shared" si="3"/>
        <v>1391.3995152801617</v>
      </c>
      <c r="AB11">
        <f>75/0.855</f>
        <v>87.719298245614041</v>
      </c>
      <c r="AC11">
        <f t="shared" si="4"/>
        <v>96.624966338900123</v>
      </c>
      <c r="AD11">
        <f>-0.04/0.855</f>
        <v>-4.6783625730994156E-2</v>
      </c>
      <c r="AE11">
        <f t="shared" si="5"/>
        <v>-5.1533315380746736E-2</v>
      </c>
    </row>
    <row r="12" spans="1:31" x14ac:dyDescent="0.35">
      <c r="A12">
        <v>3.6</v>
      </c>
      <c r="B12" t="s">
        <v>5</v>
      </c>
      <c r="Q12" t="s">
        <v>44</v>
      </c>
      <c r="R12">
        <v>450</v>
      </c>
      <c r="T12" t="s">
        <v>11</v>
      </c>
      <c r="U12">
        <v>1</v>
      </c>
      <c r="V12" s="9">
        <f t="shared" si="0"/>
        <v>6.0606060606060608E-2</v>
      </c>
      <c r="W12">
        <v>1.35</v>
      </c>
      <c r="X12">
        <f t="shared" si="1"/>
        <v>8.1818181818181832E-2</v>
      </c>
      <c r="Y12">
        <v>834</v>
      </c>
      <c r="Z12">
        <f t="shared" si="2"/>
        <v>1.1015246162634613</v>
      </c>
      <c r="AA12">
        <f t="shared" si="3"/>
        <v>918.6715299637267</v>
      </c>
      <c r="AB12">
        <v>73</v>
      </c>
      <c r="AC12">
        <f t="shared" si="4"/>
        <v>80.411296987232674</v>
      </c>
      <c r="AD12">
        <v>3.02</v>
      </c>
      <c r="AE12">
        <f t="shared" si="5"/>
        <v>3.3266043411156532</v>
      </c>
    </row>
    <row r="13" spans="1:31" x14ac:dyDescent="0.35">
      <c r="Q13" t="s">
        <v>45</v>
      </c>
      <c r="R13">
        <v>330</v>
      </c>
      <c r="T13" t="s">
        <v>50</v>
      </c>
      <c r="U13">
        <v>0.5</v>
      </c>
      <c r="V13" s="9">
        <f t="shared" si="0"/>
        <v>3.0303030303030304E-2</v>
      </c>
      <c r="W13">
        <f>0.25/0.868</f>
        <v>0.28801843317972353</v>
      </c>
      <c r="X13">
        <f t="shared" si="1"/>
        <v>8.7278313084764702E-3</v>
      </c>
      <c r="Y13">
        <f>1027/0.868</f>
        <v>1183.1797235023041</v>
      </c>
      <c r="Z13">
        <f t="shared" si="2"/>
        <v>0.55076230813173066</v>
      </c>
      <c r="AA13">
        <f t="shared" si="3"/>
        <v>651.65079545079186</v>
      </c>
      <c r="AB13">
        <f>98/0.868</f>
        <v>112.90322580645162</v>
      </c>
      <c r="AC13">
        <f t="shared" si="4"/>
        <v>62.182841240679267</v>
      </c>
      <c r="AD13">
        <f>-0.15/0.868</f>
        <v>-0.1728110599078341</v>
      </c>
      <c r="AE13">
        <f t="shared" si="5"/>
        <v>-9.5177818225529495E-2</v>
      </c>
    </row>
    <row r="14" spans="1:31" x14ac:dyDescent="0.35">
      <c r="Q14" t="s">
        <v>2</v>
      </c>
      <c r="R14" s="5">
        <f>+(440*R9)+(0.73*R9*R9)</f>
        <v>12352.25390625</v>
      </c>
      <c r="T14" t="s">
        <v>51</v>
      </c>
      <c r="U14">
        <v>0.5</v>
      </c>
      <c r="V14" s="9">
        <f t="shared" si="0"/>
        <v>3.0303030303030304E-2</v>
      </c>
      <c r="W14">
        <f>0.28/0.906</f>
        <v>0.30905077262693159</v>
      </c>
      <c r="X14">
        <f t="shared" si="1"/>
        <v>9.3651749280888371E-3</v>
      </c>
      <c r="Y14">
        <f>853/0.906</f>
        <v>941.50110375275938</v>
      </c>
      <c r="Z14">
        <f t="shared" si="2"/>
        <v>0.55076230813173066</v>
      </c>
      <c r="AA14">
        <f t="shared" si="3"/>
        <v>518.54332101144178</v>
      </c>
      <c r="AB14">
        <f>143/0.906</f>
        <v>157.83664459161147</v>
      </c>
      <c r="AC14">
        <f t="shared" si="4"/>
        <v>86.930474683043585</v>
      </c>
      <c r="AD14">
        <f>0.3/0.906</f>
        <v>0.33112582781456951</v>
      </c>
      <c r="AE14">
        <f t="shared" si="5"/>
        <v>0.18237162520918232</v>
      </c>
    </row>
    <row r="15" spans="1:31" x14ac:dyDescent="0.35">
      <c r="Q15" t="s">
        <v>9</v>
      </c>
      <c r="R15" s="2">
        <f>SUM(R10:R14)</f>
        <v>18775.25390625</v>
      </c>
      <c r="T15" t="s">
        <v>12</v>
      </c>
      <c r="U15">
        <v>0.5</v>
      </c>
      <c r="V15" s="9">
        <f t="shared" si="0"/>
        <v>3.0303030303030304E-2</v>
      </c>
      <c r="W15">
        <f>0.25/0.876</f>
        <v>0.28538812785388129</v>
      </c>
      <c r="X15">
        <f t="shared" si="1"/>
        <v>8.6481250864812523E-3</v>
      </c>
      <c r="Y15">
        <f>1015/0.876</f>
        <v>1158.6757990867579</v>
      </c>
      <c r="Z15">
        <f t="shared" si="2"/>
        <v>0.55076230813173066</v>
      </c>
      <c r="AA15">
        <f t="shared" si="3"/>
        <v>638.15495748140017</v>
      </c>
      <c r="AB15">
        <f>221/0.876</f>
        <v>252.28310502283105</v>
      </c>
      <c r="AC15">
        <f t="shared" si="4"/>
        <v>138.94802522501425</v>
      </c>
      <c r="AD15">
        <f>0.15/0.876</f>
        <v>0.17123287671232876</v>
      </c>
      <c r="AE15">
        <f t="shared" si="5"/>
        <v>9.4308614406118263E-2</v>
      </c>
    </row>
    <row r="16" spans="1:31" x14ac:dyDescent="0.35">
      <c r="T16" t="s">
        <v>52</v>
      </c>
      <c r="U16">
        <v>1</v>
      </c>
      <c r="V16" s="9">
        <f t="shared" si="0"/>
        <v>6.0606060606060608E-2</v>
      </c>
      <c r="W16">
        <v>0.3</v>
      </c>
      <c r="X16">
        <f t="shared" si="1"/>
        <v>1.8181818181818181E-2</v>
      </c>
      <c r="Y16">
        <f>940/0.9</f>
        <v>1044.4444444444443</v>
      </c>
      <c r="Z16">
        <f t="shared" si="2"/>
        <v>1.1015246162634613</v>
      </c>
      <c r="AA16">
        <f t="shared" si="3"/>
        <v>1150.4812658751705</v>
      </c>
      <c r="AB16">
        <f>90/0.9</f>
        <v>100</v>
      </c>
      <c r="AC16">
        <f t="shared" si="4"/>
        <v>110.15246162634614</v>
      </c>
      <c r="AD16">
        <v>0.3</v>
      </c>
      <c r="AE16">
        <f t="shared" si="5"/>
        <v>0.33045738487903836</v>
      </c>
    </row>
    <row r="17" spans="1:31" x14ac:dyDescent="0.35">
      <c r="Q17" t="s">
        <v>28</v>
      </c>
      <c r="T17" s="7" t="s">
        <v>9</v>
      </c>
      <c r="U17">
        <f>SUM(U9:U16)</f>
        <v>16.5</v>
      </c>
      <c r="X17" s="4">
        <f>SUM(X9:X16)</f>
        <v>0.88032255964131689</v>
      </c>
      <c r="AA17">
        <f>SUM(AA9:AA16)</f>
        <v>17133.423026836434</v>
      </c>
      <c r="AC17">
        <f>SUM(AC9:AC16)</f>
        <v>1456.469759111985</v>
      </c>
      <c r="AE17">
        <f>SUM(AE9:AE16)</f>
        <v>42.41749912436331</v>
      </c>
    </row>
    <row r="18" spans="1:31" x14ac:dyDescent="0.35">
      <c r="Q18" t="s">
        <v>29</v>
      </c>
      <c r="X18" s="4"/>
      <c r="AE18">
        <f>+AE17/S22</f>
        <v>2.3338175876714269</v>
      </c>
    </row>
    <row r="19" spans="1:31" x14ac:dyDescent="0.35">
      <c r="Q19" t="s">
        <v>30</v>
      </c>
    </row>
    <row r="20" spans="1:31" x14ac:dyDescent="0.35">
      <c r="A20" t="s">
        <v>8</v>
      </c>
      <c r="B20" s="1"/>
      <c r="D20" s="7" t="s">
        <v>23</v>
      </c>
      <c r="E20" t="s">
        <v>19</v>
      </c>
      <c r="F20" t="s">
        <v>24</v>
      </c>
      <c r="G20" t="s">
        <v>22</v>
      </c>
      <c r="H20" t="s">
        <v>21</v>
      </c>
      <c r="I20" t="s">
        <v>17</v>
      </c>
      <c r="J20" t="s">
        <v>19</v>
      </c>
      <c r="K20" t="s">
        <v>20</v>
      </c>
      <c r="L20" t="s">
        <v>26</v>
      </c>
      <c r="M20" t="s">
        <v>27</v>
      </c>
      <c r="N20" t="s">
        <v>36</v>
      </c>
      <c r="O20" t="s">
        <v>35</v>
      </c>
      <c r="V20" t="s">
        <v>18</v>
      </c>
      <c r="W20" s="2">
        <f>+AA17-R15</f>
        <v>-1641.8308794135664</v>
      </c>
      <c r="Z20" t="s">
        <v>17</v>
      </c>
      <c r="AA20" s="2">
        <f>+AA17/S22</f>
        <v>942.68367590013315</v>
      </c>
    </row>
    <row r="21" spans="1:31" x14ac:dyDescent="0.35">
      <c r="D21" t="s">
        <v>48</v>
      </c>
      <c r="E21">
        <v>11</v>
      </c>
      <c r="F21" s="9">
        <f>+E21/E29</f>
        <v>0.66666666666666663</v>
      </c>
    </row>
    <row r="22" spans="1:31" x14ac:dyDescent="0.35">
      <c r="A22" t="s">
        <v>6</v>
      </c>
      <c r="B22" s="6"/>
      <c r="D22" t="s">
        <v>10</v>
      </c>
      <c r="E22">
        <v>1</v>
      </c>
      <c r="F22" s="9"/>
      <c r="Q22" t="s">
        <v>13</v>
      </c>
      <c r="R22">
        <v>16</v>
      </c>
      <c r="S22" s="3">
        <f>+R22/X17</f>
        <v>18.175156168347112</v>
      </c>
    </row>
    <row r="23" spans="1:31" x14ac:dyDescent="0.35">
      <c r="A23" t="s">
        <v>25</v>
      </c>
      <c r="B23" s="6"/>
      <c r="D23" t="s">
        <v>49</v>
      </c>
      <c r="E23">
        <v>1</v>
      </c>
      <c r="F23" s="9"/>
    </row>
    <row r="24" spans="1:31" x14ac:dyDescent="0.35">
      <c r="D24" t="s">
        <v>11</v>
      </c>
      <c r="E24">
        <v>1</v>
      </c>
      <c r="F24" s="9"/>
      <c r="Q24" t="s">
        <v>31</v>
      </c>
    </row>
    <row r="25" spans="1:31" x14ac:dyDescent="0.35">
      <c r="A25" t="s">
        <v>13</v>
      </c>
      <c r="B25" s="1"/>
      <c r="D25" t="s">
        <v>50</v>
      </c>
      <c r="E25">
        <v>0.5</v>
      </c>
      <c r="F25" s="9"/>
      <c r="Q25" t="s">
        <v>7</v>
      </c>
      <c r="R25">
        <f>54+(0.1*A4)</f>
        <v>124</v>
      </c>
    </row>
    <row r="26" spans="1:31" x14ac:dyDescent="0.35">
      <c r="A26" t="s">
        <v>14</v>
      </c>
      <c r="B26" s="1"/>
      <c r="D26" t="s">
        <v>51</v>
      </c>
      <c r="E26">
        <v>0.5</v>
      </c>
      <c r="F26" s="9"/>
      <c r="Q26" t="s">
        <v>34</v>
      </c>
      <c r="R26">
        <f>+A10*1000*A12/100</f>
        <v>900</v>
      </c>
    </row>
    <row r="27" spans="1:31" x14ac:dyDescent="0.35">
      <c r="A27" t="s">
        <v>15</v>
      </c>
      <c r="B27" s="1"/>
      <c r="D27" t="s">
        <v>12</v>
      </c>
      <c r="E27">
        <v>0.5</v>
      </c>
      <c r="F27" s="9"/>
      <c r="Q27" t="s">
        <v>29</v>
      </c>
      <c r="R27">
        <f>1.396*R26+0.000195*R26*R26</f>
        <v>1414.35</v>
      </c>
    </row>
    <row r="28" spans="1:31" x14ac:dyDescent="0.35">
      <c r="D28" t="s">
        <v>52</v>
      </c>
      <c r="E28">
        <v>1</v>
      </c>
      <c r="F28" s="9"/>
      <c r="Q28" t="s">
        <v>54</v>
      </c>
      <c r="R28">
        <v>60</v>
      </c>
    </row>
    <row r="29" spans="1:31" x14ac:dyDescent="0.35">
      <c r="A29" t="s">
        <v>16</v>
      </c>
      <c r="B29" s="1"/>
      <c r="E29">
        <f>SUM(E21:E28)</f>
        <v>16.5</v>
      </c>
      <c r="Q29" t="s">
        <v>46</v>
      </c>
      <c r="R29">
        <v>19</v>
      </c>
    </row>
    <row r="30" spans="1:31" x14ac:dyDescent="0.35">
      <c r="A30" t="s">
        <v>53</v>
      </c>
      <c r="B30" s="8"/>
    </row>
    <row r="31" spans="1:31" x14ac:dyDescent="0.35">
      <c r="R31">
        <f>+R25+R27+R28+R29</f>
        <v>1617.35</v>
      </c>
    </row>
    <row r="32" spans="1:31" x14ac:dyDescent="0.35">
      <c r="A32" t="s">
        <v>17</v>
      </c>
      <c r="B32" s="1"/>
    </row>
    <row r="33" spans="1:18" x14ac:dyDescent="0.35">
      <c r="R33">
        <f>+AC17-R31</f>
        <v>-160.8802408880149</v>
      </c>
    </row>
    <row r="34" spans="1:18" x14ac:dyDescent="0.35">
      <c r="A34" t="s">
        <v>32</v>
      </c>
      <c r="B34" s="1"/>
    </row>
    <row r="35" spans="1:18" x14ac:dyDescent="0.35">
      <c r="A35" t="s">
        <v>33</v>
      </c>
      <c r="B35" s="6"/>
    </row>
    <row r="37" spans="1:18" x14ac:dyDescent="0.35">
      <c r="A37" t="s">
        <v>37</v>
      </c>
      <c r="B37" s="1"/>
    </row>
  </sheetData>
  <conditionalFormatting sqref="B25:B26">
    <cfRule type="cellIs" dxfId="12" priority="16" operator="equal">
      <formula>$R$22</formula>
    </cfRule>
  </conditionalFormatting>
  <conditionalFormatting sqref="B27">
    <cfRule type="cellIs" dxfId="11" priority="14" operator="equal">
      <formula>$S$22</formula>
    </cfRule>
  </conditionalFormatting>
  <conditionalFormatting sqref="B29">
    <cfRule type="cellIs" dxfId="10" priority="13" operator="equal">
      <formula>$AA$17</formula>
    </cfRule>
  </conditionalFormatting>
  <conditionalFormatting sqref="B30">
    <cfRule type="cellIs" dxfId="9" priority="12" operator="equal">
      <formula>$W$20</formula>
    </cfRule>
  </conditionalFormatting>
  <conditionalFormatting sqref="B32">
    <cfRule type="cellIs" dxfId="8" priority="11" operator="equal">
      <formula>$AA$20</formula>
    </cfRule>
  </conditionalFormatting>
  <conditionalFormatting sqref="B34">
    <cfRule type="cellIs" dxfId="7" priority="10" operator="equal">
      <formula>$AC$17</formula>
    </cfRule>
  </conditionalFormatting>
  <conditionalFormatting sqref="B23">
    <cfRule type="cellIs" dxfId="6" priority="9" operator="equal">
      <formula>$R$31</formula>
    </cfRule>
    <cfRule type="cellIs" dxfId="5" priority="1" operator="equal">
      <formula>$R$31</formula>
    </cfRule>
  </conditionalFormatting>
  <conditionalFormatting sqref="B35">
    <cfRule type="cellIs" dxfId="4" priority="8" operator="equal">
      <formula>$R$33</formula>
    </cfRule>
  </conditionalFormatting>
  <conditionalFormatting sqref="B20">
    <cfRule type="cellIs" dxfId="3" priority="7" operator="equal">
      <formula>$R$9</formula>
    </cfRule>
  </conditionalFormatting>
  <conditionalFormatting sqref="B37">
    <cfRule type="cellIs" dxfId="2" priority="6" operator="equal">
      <formula>$AE$18</formula>
    </cfRule>
  </conditionalFormatting>
  <conditionalFormatting sqref="B22:B23">
    <cfRule type="cellIs" dxfId="1" priority="19" operator="equal">
      <formula>$R$15</formula>
    </cfRule>
  </conditionalFormatting>
  <conditionalFormatting sqref="B26">
    <cfRule type="cellIs" dxfId="0" priority="2" operator="equal">
      <formula>$AE$18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Clusius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Sijbren Mulder</dc:creator>
  <cp:lastModifiedBy>Sijbren Mulder</cp:lastModifiedBy>
  <dcterms:created xsi:type="dcterms:W3CDTF">2015-12-14T07:51:46Z</dcterms:created>
  <dcterms:modified xsi:type="dcterms:W3CDTF">2016-01-15T08:17:09Z</dcterms:modified>
</cp:coreProperties>
</file>